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0280" windowHeight="7812"/>
  </bookViews>
  <sheets>
    <sheet name="2024" sheetId="2" r:id="rId1"/>
    <sheet name="明细" sheetId="3" r:id="rId2"/>
    <sheet name="系数" sheetId="1" r:id="rId3"/>
  </sheets>
  <calcPr calcId="145621"/>
</workbook>
</file>

<file path=xl/calcChain.xml><?xml version="1.0" encoding="utf-8"?>
<calcChain xmlns="http://schemas.openxmlformats.org/spreadsheetml/2006/main">
  <c r="D4" i="2" l="1"/>
  <c r="D3" i="2"/>
  <c r="D5" i="2"/>
  <c r="L18" i="3"/>
  <c r="I18" i="3"/>
  <c r="F18" i="3"/>
  <c r="C18" i="3"/>
  <c r="N17" i="3"/>
  <c r="M17" i="3"/>
  <c r="J17" i="3"/>
  <c r="O17" i="3" s="1"/>
  <c r="H17" i="3"/>
  <c r="G17" i="3"/>
  <c r="D17" i="3"/>
  <c r="N16" i="3"/>
  <c r="M16" i="3"/>
  <c r="J16" i="3"/>
  <c r="O16" i="3" s="1"/>
  <c r="H16" i="3"/>
  <c r="G16" i="3"/>
  <c r="D16" i="3"/>
  <c r="N15" i="3"/>
  <c r="M15" i="3"/>
  <c r="J15" i="3"/>
  <c r="O15" i="3" s="1"/>
  <c r="H15" i="3"/>
  <c r="G15" i="3"/>
  <c r="D15" i="3"/>
  <c r="N14" i="3"/>
  <c r="M14" i="3"/>
  <c r="J14" i="3"/>
  <c r="O14" i="3" s="1"/>
  <c r="H14" i="3"/>
  <c r="G14" i="3"/>
  <c r="D14" i="3"/>
  <c r="N13" i="3"/>
  <c r="M13" i="3"/>
  <c r="J13" i="3"/>
  <c r="O13" i="3" s="1"/>
  <c r="H13" i="3"/>
  <c r="G13" i="3"/>
  <c r="D13" i="3"/>
  <c r="N12" i="3"/>
  <c r="M12" i="3"/>
  <c r="J12" i="3"/>
  <c r="O12" i="3" s="1"/>
  <c r="H12" i="3"/>
  <c r="G12" i="3"/>
  <c r="D12" i="3"/>
  <c r="B12" i="3"/>
  <c r="M11" i="3"/>
  <c r="N11" i="3" s="1"/>
  <c r="K11" i="3"/>
  <c r="J11" i="3"/>
  <c r="H11" i="3"/>
  <c r="G11" i="3"/>
  <c r="B11" i="3"/>
  <c r="D11" i="3" s="1"/>
  <c r="M10" i="3"/>
  <c r="O10" i="3" s="1"/>
  <c r="J10" i="3"/>
  <c r="K10" i="3" s="1"/>
  <c r="H10" i="3"/>
  <c r="G10" i="3"/>
  <c r="D10" i="3"/>
  <c r="B10" i="3"/>
  <c r="N9" i="3"/>
  <c r="M9" i="3"/>
  <c r="J9" i="3"/>
  <c r="O9" i="3" s="1"/>
  <c r="H9" i="3"/>
  <c r="G9" i="3"/>
  <c r="B9" i="3"/>
  <c r="D9" i="3" s="1"/>
  <c r="O8" i="3"/>
  <c r="M8" i="3"/>
  <c r="N8" i="3" s="1"/>
  <c r="J8" i="3"/>
  <c r="H8" i="3"/>
  <c r="H18" i="3" s="1"/>
  <c r="E8" i="3"/>
  <c r="G8" i="3" s="1"/>
  <c r="D8" i="3"/>
  <c r="M7" i="3"/>
  <c r="O7" i="3" s="1"/>
  <c r="J7" i="3"/>
  <c r="K7" i="3" s="1"/>
  <c r="H7" i="3"/>
  <c r="G7" i="3"/>
  <c r="D7" i="3"/>
  <c r="M6" i="3"/>
  <c r="O6" i="3" s="1"/>
  <c r="J6" i="3"/>
  <c r="K6" i="3" s="1"/>
  <c r="H6" i="3"/>
  <c r="E6" i="3"/>
  <c r="G6" i="3" s="1"/>
  <c r="B6" i="3"/>
  <c r="D6" i="3" s="1"/>
  <c r="O5" i="3"/>
  <c r="N5" i="3"/>
  <c r="K5" i="3"/>
  <c r="G5" i="3"/>
  <c r="D5" i="3"/>
  <c r="K8" i="3" l="1"/>
  <c r="B18" i="3"/>
  <c r="M18" i="3"/>
  <c r="O18" i="3" s="1"/>
  <c r="N6" i="3"/>
  <c r="N7" i="3"/>
  <c r="K9" i="3"/>
  <c r="E18" i="3"/>
  <c r="N10" i="3"/>
  <c r="K12" i="3"/>
  <c r="K13" i="3"/>
  <c r="K14" i="3"/>
  <c r="K15" i="3"/>
  <c r="K16" i="3"/>
  <c r="K17" i="3"/>
  <c r="O11" i="3"/>
  <c r="J18" i="3"/>
  <c r="E4" i="2" l="1"/>
  <c r="F4" i="2"/>
  <c r="E3" i="2"/>
  <c r="F3" i="2" s="1"/>
  <c r="F5" i="2"/>
  <c r="F6" i="2" l="1"/>
  <c r="F7" i="2" s="1"/>
</calcChain>
</file>

<file path=xl/sharedStrings.xml><?xml version="1.0" encoding="utf-8"?>
<sst xmlns="http://schemas.openxmlformats.org/spreadsheetml/2006/main" count="128" uniqueCount="111">
  <si>
    <t>表A-1 外购电力、热力排放因子缺省值</t>
  </si>
  <si>
    <t>名称</t>
  </si>
  <si>
    <t>缺省值</t>
  </si>
  <si>
    <t>电力排放因子</t>
  </si>
  <si>
    <t>热力排放因子</t>
  </si>
  <si>
    <t>注：电力、热力排放因子根据--市2010年能源平衡表和温室气体清单编制数据计算获得。</t>
  </si>
  <si>
    <t>表A-2 化石燃料相关参数缺省值</t>
  </si>
  <si>
    <t>燃料品种</t>
  </si>
  <si>
    <t>单位热值含碳量</t>
  </si>
  <si>
    <t>低位热值</t>
  </si>
  <si>
    <t>碳氧化率</t>
  </si>
  <si>
    <t>天然气</t>
  </si>
  <si>
    <t>焦炉煤气</t>
  </si>
  <si>
    <t>管道煤气</t>
  </si>
  <si>
    <t>柴油</t>
  </si>
  <si>
    <t>汽油</t>
  </si>
  <si>
    <t>燃料油</t>
  </si>
  <si>
    <t>一般煤油</t>
  </si>
  <si>
    <t>无烟煤</t>
  </si>
  <si>
    <t>烟煤</t>
  </si>
  <si>
    <t>褐煤</t>
  </si>
  <si>
    <t>液化石油气</t>
  </si>
  <si>
    <t>液化天然气</t>
  </si>
  <si>
    <t>表A-3 燃油密度缺省值</t>
  </si>
  <si>
    <t>密度</t>
  </si>
  <si>
    <t>0.86kg/L</t>
  </si>
  <si>
    <t>0.73kg/L</t>
  </si>
  <si>
    <t>0.92kg/L</t>
  </si>
  <si>
    <t>0.82kg/L</t>
  </si>
  <si>
    <t>数据来源：《能源统计工作手册》（国家统计局能源司，2010）。</t>
  </si>
  <si>
    <r>
      <t>7.88 t CO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/ 10</t>
    </r>
    <r>
      <rPr>
        <vertAlign val="superscript"/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kWh</t>
    </r>
  </si>
  <si>
    <r>
      <t>0.11 t CO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/GJ</t>
    </r>
  </si>
  <si>
    <r>
      <t>15.3t-C/TJ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</si>
  <si>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38.9×10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KJ/m</t>
    </r>
    <r>
      <rPr>
        <vertAlign val="superscript"/>
        <sz val="10"/>
        <color theme="1"/>
        <rFont val="Times New Roman"/>
        <family val="1"/>
      </rPr>
      <t>3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</si>
  <si>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0.99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</si>
  <si>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13.6t-C/TJ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</si>
  <si>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17.4×10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KJ/m</t>
    </r>
    <r>
      <rPr>
        <vertAlign val="superscript"/>
        <sz val="10"/>
        <color theme="1"/>
        <rFont val="Times New Roman"/>
        <family val="1"/>
      </rPr>
      <t>3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</si>
  <si>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0.99</t>
    </r>
    <r>
      <rPr>
        <vertAlign val="superscript"/>
        <sz val="10"/>
        <color theme="1"/>
        <rFont val="宋体"/>
        <family val="3"/>
        <charset val="134"/>
      </rPr>
      <t>②</t>
    </r>
  </si>
  <si>
    <r>
      <t>12.2t-C/TJ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</si>
  <si>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15.8×10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KJ/m</t>
    </r>
    <r>
      <rPr>
        <vertAlign val="superscript"/>
        <sz val="10"/>
        <color theme="1"/>
        <rFont val="Times New Roman"/>
        <family val="1"/>
      </rPr>
      <t>3</t>
    </r>
    <r>
      <rPr>
        <vertAlign val="superscript"/>
        <sz val="10"/>
        <color theme="1"/>
        <rFont val="宋体"/>
        <family val="3"/>
        <charset val="134"/>
      </rPr>
      <t>②</t>
    </r>
  </si>
  <si>
    <r>
      <t>20.2t-C/TJ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</si>
  <si>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43.3×10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</si>
  <si>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0.98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</si>
  <si>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18.9t-C/TJ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</si>
  <si>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44.8×10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</si>
  <si>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21.1t-C/TJ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</si>
  <si>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40.2×10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</si>
  <si>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19.6t-C/TJ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</si>
  <si>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27.5t-C/TJ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</si>
  <si>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23.2×10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</si>
  <si>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0.94</t>
    </r>
    <r>
      <rPr>
        <vertAlign val="superscript"/>
        <sz val="10"/>
        <color theme="1"/>
        <rFont val="宋体"/>
        <family val="3"/>
        <charset val="134"/>
      </rPr>
      <t>①</t>
    </r>
  </si>
  <si>
    <r>
      <t>26.1t-C/TJ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</si>
  <si>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22.4×10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</si>
  <si>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0.93</t>
    </r>
    <r>
      <rPr>
        <vertAlign val="superscript"/>
        <sz val="10"/>
        <color theme="1"/>
        <rFont val="宋体"/>
        <family val="3"/>
        <charset val="134"/>
      </rPr>
      <t>①</t>
    </r>
  </si>
  <si>
    <r>
      <t>28.0t-C/TJ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</si>
  <si>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14.1×10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</si>
  <si>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0.96</t>
    </r>
    <r>
      <rPr>
        <vertAlign val="superscript"/>
        <sz val="10"/>
        <color theme="1"/>
        <rFont val="宋体"/>
        <family val="3"/>
        <charset val="134"/>
      </rPr>
      <t>①</t>
    </r>
  </si>
  <si>
    <r>
      <t>17.2t-C/TJ</t>
    </r>
    <r>
      <rPr>
        <vertAlign val="superscript"/>
        <sz val="10"/>
        <color theme="1"/>
        <rFont val="宋体"/>
        <family val="3"/>
        <charset val="134"/>
      </rPr>
      <t>①</t>
    </r>
  </si>
  <si>
    <r>
      <t>47.3×10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</si>
  <si>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r>
      <t>41.9×10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KJ/Kg</t>
    </r>
    <r>
      <rPr>
        <vertAlign val="superscript"/>
        <sz val="10"/>
        <color theme="1"/>
        <rFont val="宋体"/>
        <family val="3"/>
        <charset val="134"/>
      </rPr>
      <t>②</t>
    </r>
  </si>
  <si>
    <t>能源种类</t>
    <phoneticPr fontId="1" type="noConversion"/>
  </si>
  <si>
    <t>数量</t>
    <phoneticPr fontId="1" type="noConversion"/>
  </si>
  <si>
    <t>汽油</t>
    <phoneticPr fontId="1" type="noConversion"/>
  </si>
  <si>
    <t>L</t>
    <phoneticPr fontId="1" type="noConversion"/>
  </si>
  <si>
    <t>碳排放系数</t>
    <phoneticPr fontId="1" type="noConversion"/>
  </si>
  <si>
    <t>柴油</t>
    <phoneticPr fontId="1" type="noConversion"/>
  </si>
  <si>
    <t>数据来源：①《省级温室气体清单编制指南》（国家发展和改革委员会应对气候变化司，2011）；</t>
    <phoneticPr fontId="1" type="noConversion"/>
  </si>
  <si>
    <t xml:space="preserve">         ②《中国温室气体清单研究》（国家气候变化对策协调小组办公室、国家发展和改革委员会能源研究所，2007）。</t>
    <phoneticPr fontId="1" type="noConversion"/>
  </si>
  <si>
    <t>温室气体排放</t>
    <phoneticPr fontId="1" type="noConversion"/>
  </si>
  <si>
    <t>范围2</t>
    <phoneticPr fontId="1" type="noConversion"/>
  </si>
  <si>
    <t>范围1</t>
    <phoneticPr fontId="1" type="noConversion"/>
  </si>
  <si>
    <t>单位</t>
    <phoneticPr fontId="1" type="noConversion"/>
  </si>
  <si>
    <t>碳排放(kg)</t>
    <phoneticPr fontId="1" type="noConversion"/>
  </si>
  <si>
    <t>电力</t>
    <phoneticPr fontId="1" type="noConversion"/>
  </si>
  <si>
    <t>kwh</t>
    <phoneticPr fontId="1" type="noConversion"/>
  </si>
  <si>
    <t>合计</t>
    <phoneticPr fontId="1" type="noConversion"/>
  </si>
  <si>
    <t xml:space="preserve">       </t>
    <phoneticPr fontId="16" type="noConversion"/>
  </si>
  <si>
    <t>吴江电费</t>
    <phoneticPr fontId="16" type="noConversion"/>
  </si>
  <si>
    <t>吴江水</t>
    <phoneticPr fontId="16" type="noConversion"/>
  </si>
  <si>
    <t>汽油，柴油费</t>
    <phoneticPr fontId="16" type="noConversion"/>
  </si>
  <si>
    <t>日期</t>
    <phoneticPr fontId="16" type="noConversion"/>
  </si>
  <si>
    <t>电费金额</t>
    <phoneticPr fontId="16" type="noConversion"/>
  </si>
  <si>
    <t>电费度数</t>
    <phoneticPr fontId="16" type="noConversion"/>
  </si>
  <si>
    <t>单价</t>
    <phoneticPr fontId="16" type="noConversion"/>
  </si>
  <si>
    <t>水费金额</t>
    <phoneticPr fontId="16" type="noConversion"/>
  </si>
  <si>
    <t>水费度数</t>
    <phoneticPr fontId="16" type="noConversion"/>
  </si>
  <si>
    <t>年平均单价</t>
    <phoneticPr fontId="16" type="noConversion"/>
  </si>
  <si>
    <r>
      <t>中层数量</t>
    </r>
    <r>
      <rPr>
        <sz val="10"/>
        <rFont val="Times New Roman"/>
        <family val="1"/>
      </rPr>
      <t>(L)</t>
    </r>
    <phoneticPr fontId="16" type="noConversion"/>
  </si>
  <si>
    <t>单位车</t>
    <phoneticPr fontId="16" type="noConversion"/>
  </si>
  <si>
    <t>汽油费金额</t>
    <phoneticPr fontId="16" type="noConversion"/>
  </si>
  <si>
    <t>实际单价</t>
    <phoneticPr fontId="16" type="noConversion"/>
  </si>
  <si>
    <r>
      <t>数量</t>
    </r>
    <r>
      <rPr>
        <sz val="10"/>
        <rFont val="Times New Roman"/>
        <family val="1"/>
      </rPr>
      <t>(L)</t>
    </r>
    <phoneticPr fontId="16" type="noConversion"/>
  </si>
  <si>
    <t>柴油金额</t>
    <phoneticPr fontId="16" type="noConversion"/>
  </si>
  <si>
    <t>合计</t>
    <phoneticPr fontId="16" type="noConversion"/>
  </si>
  <si>
    <r>
      <t>2024.01</t>
    </r>
    <r>
      <rPr>
        <sz val="10"/>
        <rFont val="宋体"/>
        <family val="3"/>
        <charset val="134"/>
      </rPr>
      <t>月</t>
    </r>
    <phoneticPr fontId="16" type="noConversion"/>
  </si>
  <si>
    <r>
      <t>2024.02月</t>
    </r>
    <r>
      <rPr>
        <sz val="10"/>
        <rFont val="宋体"/>
        <family val="3"/>
        <charset val="134"/>
      </rPr>
      <t/>
    </r>
  </si>
  <si>
    <r>
      <t>2024.03月</t>
    </r>
    <r>
      <rPr>
        <sz val="10"/>
        <rFont val="宋体"/>
        <family val="3"/>
        <charset val="134"/>
      </rPr>
      <t/>
    </r>
  </si>
  <si>
    <r>
      <t>2024.04月</t>
    </r>
    <r>
      <rPr>
        <sz val="10"/>
        <rFont val="宋体"/>
        <family val="3"/>
        <charset val="134"/>
      </rPr>
      <t/>
    </r>
  </si>
  <si>
    <r>
      <t>2024.05月</t>
    </r>
    <r>
      <rPr>
        <sz val="10"/>
        <rFont val="宋体"/>
        <family val="3"/>
        <charset val="134"/>
      </rPr>
      <t/>
    </r>
  </si>
  <si>
    <r>
      <t>2024.06月</t>
    </r>
    <r>
      <rPr>
        <sz val="10"/>
        <rFont val="宋体"/>
        <family val="3"/>
        <charset val="134"/>
      </rPr>
      <t/>
    </r>
  </si>
  <si>
    <r>
      <t>2024.07月</t>
    </r>
    <r>
      <rPr>
        <sz val="10"/>
        <rFont val="宋体"/>
        <family val="3"/>
        <charset val="134"/>
      </rPr>
      <t/>
    </r>
  </si>
  <si>
    <r>
      <t>2024.08月</t>
    </r>
    <r>
      <rPr>
        <sz val="10"/>
        <rFont val="宋体"/>
        <family val="3"/>
        <charset val="134"/>
      </rPr>
      <t/>
    </r>
  </si>
  <si>
    <r>
      <t>2024.09月</t>
    </r>
    <r>
      <rPr>
        <sz val="10"/>
        <rFont val="宋体"/>
        <family val="3"/>
        <charset val="134"/>
      </rPr>
      <t/>
    </r>
  </si>
  <si>
    <r>
      <t>2024.10月</t>
    </r>
    <r>
      <rPr>
        <sz val="10"/>
        <rFont val="宋体"/>
        <family val="3"/>
        <charset val="134"/>
      </rPr>
      <t/>
    </r>
  </si>
  <si>
    <r>
      <t>2024.11月</t>
    </r>
    <r>
      <rPr>
        <sz val="10"/>
        <rFont val="宋体"/>
        <family val="3"/>
        <charset val="134"/>
      </rPr>
      <t/>
    </r>
  </si>
  <si>
    <r>
      <t>2024.12月</t>
    </r>
    <r>
      <rPr>
        <sz val="10"/>
        <rFont val="宋体"/>
        <family val="3"/>
        <charset val="134"/>
      </rPr>
      <t/>
    </r>
  </si>
  <si>
    <t>备注：</t>
    <phoneticPr fontId="19" type="noConversion"/>
  </si>
  <si>
    <r>
      <rPr>
        <b/>
        <sz val="11"/>
        <color theme="1"/>
        <rFont val="宋体"/>
        <family val="3"/>
        <charset val="134"/>
        <scheme val="minor"/>
      </rPr>
      <t xml:space="preserve">范围1 </t>
    </r>
    <r>
      <rPr>
        <sz val="11"/>
        <color theme="1"/>
        <rFont val="宋体"/>
        <family val="2"/>
        <charset val="134"/>
        <scheme val="minor"/>
      </rPr>
      <t>：</t>
    </r>
    <r>
      <rPr>
        <sz val="11"/>
        <color theme="1"/>
        <rFont val="宋体"/>
        <family val="3"/>
        <charset val="134"/>
        <scheme val="minor"/>
      </rPr>
      <t>按公司消耗的柴油、汽油量计算。</t>
    </r>
    <r>
      <rPr>
        <sz val="11"/>
        <color theme="1"/>
        <rFont val="宋体"/>
        <family val="2"/>
        <charset val="134"/>
        <scheme val="minor"/>
      </rPr>
      <t>直接温室气体排放。</t>
    </r>
    <phoneticPr fontId="19" type="noConversion"/>
  </si>
  <si>
    <r>
      <rPr>
        <b/>
        <sz val="11"/>
        <color theme="1"/>
        <rFont val="宋体"/>
        <family val="3"/>
        <charset val="134"/>
        <scheme val="minor"/>
      </rPr>
      <t>范围3</t>
    </r>
    <r>
      <rPr>
        <sz val="11"/>
        <color theme="1"/>
        <rFont val="宋体"/>
        <family val="2"/>
        <charset val="134"/>
        <scheme val="minor"/>
      </rPr>
      <t xml:space="preserve"> ：据CDP（全球环境信息研究中心）估计，电子行业范围3排放量平均占公司排放总量的77%，我司以此推算范围3的数值。</t>
    </r>
    <phoneticPr fontId="19" type="noConversion"/>
  </si>
  <si>
    <t>范围3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</si>
  <si>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范围2</t>
    </r>
    <r>
      <rPr>
        <sz val="11"/>
        <color theme="1"/>
        <rFont val="宋体"/>
        <family val="2"/>
        <charset val="134"/>
        <scheme val="minor"/>
      </rPr>
      <t xml:space="preserve"> ：按公司消耗的外购电力计算，光伏电力不计入碳排放。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</si>
</sst>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0_);[Red]\(0.000\)"/>
    <numFmt numFmtId="177" formatCode="_ * #,##0_ ;_ * \-#,##0_ ;_ * &quot;-&quot;??_ ;_ @_ "/>
    <numFmt numFmtId="178" formatCode="_ * #,##0.000000_ ;_ * \-#,##0.000000_ ;_ * &quot;-&quot;??_ ;_ @_ "/>
    <numFmt numFmtId="179" formatCode="0.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vertAlign val="superscript"/>
      <sz val="10"/>
      <color theme="1"/>
      <name val="宋体"/>
      <family val="3"/>
      <charset val="134"/>
    </font>
    <font>
      <vertAlign val="superscript"/>
      <sz val="10"/>
      <color theme="1"/>
      <name val="Times New Roman"/>
      <family val="1"/>
    </font>
    <font>
      <b/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77" fontId="12" fillId="0" borderId="0" xfId="1" applyNumberFormat="1" applyFont="1" applyAlignment="1">
      <alignment horizontal="left" vertical="center"/>
    </xf>
    <xf numFmtId="177" fontId="13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/>
    <xf numFmtId="0" fontId="17" fillId="0" borderId="2" xfId="0" applyFont="1" applyBorder="1" applyAlignment="1">
      <alignment horizontal="right" vertical="center"/>
    </xf>
    <xf numFmtId="0" fontId="15" fillId="0" borderId="0" xfId="0" applyFont="1" applyAlignment="1"/>
    <xf numFmtId="0" fontId="18" fillId="0" borderId="0" xfId="0" applyFont="1" applyAlignment="1"/>
    <xf numFmtId="43" fontId="15" fillId="0" borderId="0" xfId="0" applyNumberFormat="1" applyFont="1" applyAlignment="1"/>
    <xf numFmtId="43" fontId="17" fillId="0" borderId="0" xfId="0" applyNumberFormat="1" applyFont="1" applyAlignment="1"/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57" fontId="15" fillId="0" borderId="27" xfId="0" applyNumberFormat="1" applyFont="1" applyBorder="1" applyAlignment="1">
      <alignment horizontal="center" vertical="center"/>
    </xf>
    <xf numFmtId="43" fontId="15" fillId="0" borderId="1" xfId="1" applyFont="1" applyBorder="1" applyAlignment="1"/>
    <xf numFmtId="178" fontId="15" fillId="0" borderId="12" xfId="1" applyNumberFormat="1" applyFont="1" applyBorder="1">
      <alignment vertical="center"/>
    </xf>
    <xf numFmtId="43" fontId="15" fillId="0" borderId="13" xfId="1" applyFont="1" applyBorder="1">
      <alignment vertical="center"/>
    </xf>
    <xf numFmtId="0" fontId="15" fillId="0" borderId="1" xfId="0" applyFont="1" applyBorder="1" applyAlignment="1"/>
    <xf numFmtId="178" fontId="15" fillId="0" borderId="14" xfId="1" applyNumberFormat="1" applyFont="1" applyBorder="1">
      <alignment vertical="center"/>
    </xf>
    <xf numFmtId="0" fontId="15" fillId="0" borderId="13" xfId="0" applyFont="1" applyBorder="1" applyAlignment="1"/>
    <xf numFmtId="43" fontId="15" fillId="0" borderId="1" xfId="1" applyFont="1" applyBorder="1">
      <alignment vertical="center"/>
    </xf>
    <xf numFmtId="178" fontId="15" fillId="0" borderId="14" xfId="1" applyNumberFormat="1" applyFont="1" applyFill="1" applyBorder="1">
      <alignment vertical="center"/>
    </xf>
    <xf numFmtId="43" fontId="15" fillId="0" borderId="15" xfId="1" applyFont="1" applyBorder="1">
      <alignment vertical="center"/>
    </xf>
    <xf numFmtId="0" fontId="15" fillId="0" borderId="16" xfId="0" applyFont="1" applyBorder="1" applyAlignment="1">
      <alignment horizontal="right" vertical="center"/>
    </xf>
    <xf numFmtId="43" fontId="15" fillId="0" borderId="1" xfId="1" applyFont="1" applyFill="1" applyBorder="1">
      <alignment vertical="center"/>
    </xf>
    <xf numFmtId="178" fontId="15" fillId="0" borderId="12" xfId="1" applyNumberFormat="1" applyFont="1" applyFill="1" applyBorder="1">
      <alignment vertical="center"/>
    </xf>
    <xf numFmtId="0" fontId="15" fillId="0" borderId="1" xfId="0" applyFont="1" applyFill="1" applyBorder="1" applyAlignment="1">
      <alignment vertical="center"/>
    </xf>
    <xf numFmtId="43" fontId="15" fillId="0" borderId="13" xfId="1" applyFont="1" applyFill="1" applyBorder="1">
      <alignment vertical="center"/>
    </xf>
    <xf numFmtId="0" fontId="15" fillId="0" borderId="1" xfId="0" applyFont="1" applyFill="1" applyBorder="1" applyAlignment="1"/>
    <xf numFmtId="43" fontId="15" fillId="0" borderId="15" xfId="1" applyFont="1" applyFill="1" applyBorder="1">
      <alignment vertical="center"/>
    </xf>
    <xf numFmtId="43" fontId="15" fillId="0" borderId="13" xfId="1" applyFont="1" applyBorder="1" applyAlignment="1">
      <alignment vertical="center"/>
    </xf>
    <xf numFmtId="0" fontId="15" fillId="0" borderId="13" xfId="0" applyFont="1" applyFill="1" applyBorder="1" applyAlignment="1"/>
    <xf numFmtId="43" fontId="15" fillId="0" borderId="1" xfId="1" applyFont="1" applyFill="1" applyBorder="1" applyAlignment="1"/>
    <xf numFmtId="43" fontId="15" fillId="0" borderId="13" xfId="1" applyFont="1" applyFill="1" applyBorder="1" applyAlignment="1"/>
    <xf numFmtId="43" fontId="15" fillId="0" borderId="15" xfId="1" applyFont="1" applyFill="1" applyBorder="1" applyAlignment="1"/>
    <xf numFmtId="43" fontId="15" fillId="0" borderId="13" xfId="1" applyFont="1" applyBorder="1" applyAlignment="1"/>
    <xf numFmtId="179" fontId="15" fillId="0" borderId="13" xfId="0" applyNumberFormat="1" applyFont="1" applyBorder="1" applyAlignment="1"/>
    <xf numFmtId="43" fontId="15" fillId="0" borderId="1" xfId="1" applyFont="1" applyFill="1" applyBorder="1" applyAlignment="1">
      <alignment horizontal="right" vertical="center"/>
    </xf>
    <xf numFmtId="0" fontId="15" fillId="0" borderId="17" xfId="0" applyFont="1" applyBorder="1" applyAlignment="1"/>
    <xf numFmtId="0" fontId="15" fillId="0" borderId="1" xfId="0" applyFont="1" applyBorder="1" applyAlignment="1">
      <alignment vertical="center"/>
    </xf>
    <xf numFmtId="0" fontId="18" fillId="0" borderId="18" xfId="0" applyFont="1" applyBorder="1" applyAlignment="1"/>
    <xf numFmtId="43" fontId="15" fillId="0" borderId="19" xfId="0" applyNumberFormat="1" applyFont="1" applyBorder="1" applyAlignment="1"/>
    <xf numFmtId="0" fontId="15" fillId="0" borderId="20" xfId="0" applyFont="1" applyBorder="1" applyAlignment="1"/>
    <xf numFmtId="43" fontId="15" fillId="0" borderId="21" xfId="0" applyNumberFormat="1" applyFont="1" applyBorder="1" applyAlignment="1"/>
    <xf numFmtId="0" fontId="15" fillId="0" borderId="19" xfId="0" applyNumberFormat="1" applyFont="1" applyBorder="1" applyAlignment="1"/>
    <xf numFmtId="0" fontId="15" fillId="0" borderId="22" xfId="0" applyFont="1" applyBorder="1" applyAlignment="1"/>
    <xf numFmtId="0" fontId="15" fillId="0" borderId="21" xfId="0" applyNumberFormat="1" applyFont="1" applyBorder="1" applyAlignment="1"/>
    <xf numFmtId="43" fontId="15" fillId="0" borderId="23" xfId="0" applyNumberFormat="1" applyFont="1" applyBorder="1" applyAlignment="1"/>
    <xf numFmtId="0" fontId="15" fillId="0" borderId="6" xfId="0" applyFont="1" applyBorder="1" applyAlignment="1">
      <alignment horizontal="center" vertical="center"/>
    </xf>
    <xf numFmtId="0" fontId="15" fillId="6" borderId="26" xfId="0" applyFont="1" applyFill="1" applyBorder="1" applyAlignment="1">
      <alignment horizontal="center"/>
    </xf>
    <xf numFmtId="0" fontId="18" fillId="0" borderId="26" xfId="0" applyFont="1" applyBorder="1" applyAlignment="1">
      <alignment horizontal="center"/>
    </xf>
    <xf numFmtId="43" fontId="15" fillId="0" borderId="28" xfId="0" applyNumberFormat="1" applyFont="1" applyBorder="1" applyAlignment="1">
      <alignment horizontal="center"/>
    </xf>
    <xf numFmtId="177" fontId="15" fillId="0" borderId="1" xfId="1" applyNumberFormat="1" applyFont="1" applyBorder="1" applyAlignment="1"/>
    <xf numFmtId="177" fontId="15" fillId="0" borderId="1" xfId="1" applyNumberFormat="1" applyFont="1" applyFill="1" applyBorder="1">
      <alignment vertical="center"/>
    </xf>
    <xf numFmtId="177" fontId="15" fillId="0" borderId="1" xfId="1" applyNumberFormat="1" applyFont="1" applyBorder="1">
      <alignment vertical="center"/>
    </xf>
    <xf numFmtId="178" fontId="15" fillId="0" borderId="14" xfId="0" applyNumberFormat="1" applyFont="1" applyFill="1" applyBorder="1" applyAlignment="1">
      <alignment vertical="center"/>
    </xf>
    <xf numFmtId="177" fontId="15" fillId="0" borderId="1" xfId="1" applyNumberFormat="1" applyFont="1" applyFill="1" applyBorder="1" applyAlignment="1"/>
    <xf numFmtId="43" fontId="15" fillId="0" borderId="19" xfId="1" applyFont="1" applyBorder="1" applyAlignment="1"/>
    <xf numFmtId="177" fontId="15" fillId="0" borderId="19" xfId="1" applyNumberFormat="1" applyFont="1" applyBorder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E26" sqref="E26"/>
    </sheetView>
  </sheetViews>
  <sheetFormatPr defaultRowHeight="14.4"/>
  <cols>
    <col min="1" max="1" width="4.77734375" customWidth="1"/>
    <col min="2" max="2" width="11.21875" customWidth="1"/>
    <col min="3" max="3" width="6.33203125" customWidth="1"/>
    <col min="4" max="4" width="14.6640625" customWidth="1"/>
    <col min="5" max="5" width="10.44140625" customWidth="1"/>
    <col min="6" max="6" width="16.77734375" customWidth="1"/>
    <col min="7" max="7" width="17" customWidth="1"/>
  </cols>
  <sheetData>
    <row r="2" spans="1:7">
      <c r="A2" s="14"/>
      <c r="B2" s="31" t="s">
        <v>60</v>
      </c>
      <c r="C2" s="31" t="s">
        <v>71</v>
      </c>
      <c r="D2" s="31" t="s">
        <v>61</v>
      </c>
      <c r="E2" s="31" t="s">
        <v>64</v>
      </c>
      <c r="F2" s="31" t="s">
        <v>72</v>
      </c>
      <c r="G2" s="31" t="s">
        <v>68</v>
      </c>
    </row>
    <row r="3" spans="1:7">
      <c r="A3" s="14">
        <v>1</v>
      </c>
      <c r="B3" s="16" t="s">
        <v>62</v>
      </c>
      <c r="C3" s="16" t="s">
        <v>63</v>
      </c>
      <c r="D3" s="18">
        <f>明细!H18</f>
        <v>26954.1</v>
      </c>
      <c r="E3" s="17">
        <f>18.9*44.8*0.98*0.73/1000</f>
        <v>0.605743488</v>
      </c>
      <c r="F3" s="18">
        <f>E3*D3</f>
        <v>16327.270549900799</v>
      </c>
      <c r="G3" s="16" t="s">
        <v>70</v>
      </c>
    </row>
    <row r="4" spans="1:7">
      <c r="A4" s="14">
        <v>2</v>
      </c>
      <c r="B4" s="16" t="s">
        <v>65</v>
      </c>
      <c r="C4" s="16" t="s">
        <v>63</v>
      </c>
      <c r="D4" s="18">
        <f>明细!L18</f>
        <v>26161.539999999997</v>
      </c>
      <c r="E4" s="17">
        <f>20.2*43.3*0.98*0.86/1000</f>
        <v>0.73716344799999989</v>
      </c>
      <c r="F4" s="18">
        <f>E4*D4</f>
        <v>19285.331031389916</v>
      </c>
      <c r="G4" s="16" t="s">
        <v>70</v>
      </c>
    </row>
    <row r="5" spans="1:7">
      <c r="A5" s="14">
        <v>3</v>
      </c>
      <c r="B5" s="16" t="s">
        <v>73</v>
      </c>
      <c r="C5" s="16" t="s">
        <v>74</v>
      </c>
      <c r="D5" s="18">
        <f>明细!C18</f>
        <v>2872027</v>
      </c>
      <c r="E5" s="17">
        <v>0.78800000000000003</v>
      </c>
      <c r="F5" s="18">
        <f>E5*D5</f>
        <v>2263157.2760000001</v>
      </c>
      <c r="G5" s="16" t="s">
        <v>69</v>
      </c>
    </row>
    <row r="6" spans="1:7">
      <c r="A6" s="14">
        <v>4</v>
      </c>
      <c r="B6" s="16"/>
      <c r="C6" s="16"/>
      <c r="D6" s="18"/>
      <c r="E6" s="17"/>
      <c r="F6" s="18">
        <f>SUM(F3:F5)/23%*77%</f>
        <v>7695881.7640764955</v>
      </c>
      <c r="G6" s="16" t="s">
        <v>109</v>
      </c>
    </row>
    <row r="7" spans="1:7">
      <c r="A7" s="14"/>
      <c r="B7" s="15" t="s">
        <v>75</v>
      </c>
      <c r="C7" s="16"/>
      <c r="D7" s="16"/>
      <c r="E7" s="16"/>
      <c r="F7" s="19">
        <f>SUM(F3:F6)</f>
        <v>9994651.6416577864</v>
      </c>
      <c r="G7" s="16"/>
    </row>
    <row r="8" spans="1:7">
      <c r="A8" s="14"/>
      <c r="B8" s="16"/>
      <c r="C8" s="16"/>
      <c r="D8" s="16"/>
      <c r="E8" s="16"/>
      <c r="F8" s="16"/>
      <c r="G8" s="16"/>
    </row>
    <row r="9" spans="1:7">
      <c r="A9" s="14"/>
      <c r="B9" s="99" t="s">
        <v>106</v>
      </c>
      <c r="C9" s="16"/>
      <c r="D9" s="16"/>
      <c r="E9" s="16"/>
      <c r="F9" s="16"/>
      <c r="G9" s="16"/>
    </row>
    <row r="10" spans="1:7">
      <c r="A10" s="14"/>
      <c r="B10" s="100" t="s">
        <v>107</v>
      </c>
      <c r="C10" s="16"/>
      <c r="D10" s="16"/>
      <c r="E10" s="16"/>
      <c r="F10" s="16"/>
      <c r="G10" s="16"/>
    </row>
    <row r="11" spans="1:7">
      <c r="A11" s="14"/>
      <c r="B11" s="100" t="s">
        <v>110</v>
      </c>
      <c r="C11" s="16"/>
      <c r="D11" s="16"/>
      <c r="E11" s="16"/>
      <c r="F11" s="16"/>
      <c r="G11" s="16"/>
    </row>
    <row r="12" spans="1:7">
      <c r="A12" s="14"/>
      <c r="B12" s="100" t="s">
        <v>108</v>
      </c>
      <c r="C12" s="16"/>
      <c r="D12" s="16"/>
      <c r="E12" s="16"/>
      <c r="F12" s="16"/>
      <c r="G12" s="16"/>
    </row>
    <row r="13" spans="1:7">
      <c r="A13" s="14"/>
      <c r="B13" s="16"/>
      <c r="C13" s="16"/>
      <c r="D13" s="16"/>
      <c r="E13" s="16"/>
      <c r="F13" s="16"/>
      <c r="G13" s="16"/>
    </row>
    <row r="14" spans="1:7">
      <c r="A14" s="14"/>
      <c r="B14" s="16"/>
      <c r="C14" s="16"/>
      <c r="D14" s="16"/>
      <c r="E14" s="16"/>
      <c r="F14" s="16"/>
      <c r="G14" s="16"/>
    </row>
    <row r="15" spans="1:7">
      <c r="A15" s="14"/>
      <c r="B15" s="16"/>
      <c r="C15" s="16"/>
      <c r="D15" s="16"/>
      <c r="E15" s="16"/>
      <c r="F15" s="16"/>
      <c r="G15" s="16"/>
    </row>
    <row r="16" spans="1:7">
      <c r="A16" s="14"/>
      <c r="B16" s="16"/>
      <c r="C16" s="16"/>
      <c r="D16" s="16"/>
      <c r="E16" s="16"/>
      <c r="F16" s="16"/>
      <c r="G16" s="16"/>
    </row>
    <row r="17" spans="1:7">
      <c r="A17" s="14"/>
      <c r="B17" s="16"/>
      <c r="C17" s="16"/>
      <c r="D17" s="16"/>
      <c r="E17" s="16"/>
      <c r="F17" s="16"/>
      <c r="G17" s="16"/>
    </row>
    <row r="18" spans="1:7">
      <c r="A18" s="14"/>
      <c r="B18" s="16"/>
      <c r="C18" s="16"/>
      <c r="D18" s="16"/>
      <c r="E18" s="16"/>
      <c r="F18" s="16"/>
      <c r="G18" s="16"/>
    </row>
    <row r="19" spans="1:7">
      <c r="A19" s="14"/>
      <c r="B19" s="16"/>
      <c r="C19" s="16"/>
      <c r="D19" s="16"/>
      <c r="E19" s="16"/>
      <c r="F19" s="16"/>
      <c r="G19" s="16"/>
    </row>
    <row r="20" spans="1:7">
      <c r="A20" s="14"/>
      <c r="B20" s="16"/>
      <c r="C20" s="16"/>
      <c r="D20" s="16"/>
      <c r="E20" s="16"/>
      <c r="F20" s="16"/>
      <c r="G20" s="16"/>
    </row>
    <row r="21" spans="1:7">
      <c r="A21" s="14"/>
      <c r="B21" s="16"/>
      <c r="C21" s="16"/>
      <c r="D21" s="16"/>
      <c r="E21" s="16"/>
      <c r="F21" s="16"/>
      <c r="G21" s="16"/>
    </row>
    <row r="22" spans="1:7">
      <c r="A22" s="14"/>
      <c r="B22" s="14"/>
      <c r="C22" s="14"/>
      <c r="D22" s="14"/>
      <c r="E22" s="14"/>
      <c r="F22" s="14"/>
      <c r="G22" s="1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F26" sqref="F26"/>
    </sheetView>
  </sheetViews>
  <sheetFormatPr defaultRowHeight="14.4"/>
  <cols>
    <col min="1" max="1" width="11.44140625" bestFit="1" customWidth="1"/>
    <col min="2" max="2" width="13.5546875" customWidth="1"/>
    <col min="3" max="3" width="13.33203125" customWidth="1"/>
    <col min="4" max="4" width="9.88671875" bestFit="1" customWidth="1"/>
    <col min="5" max="5" width="10.33203125" bestFit="1" customWidth="1"/>
    <col min="6" max="6" width="9" bestFit="1" customWidth="1"/>
    <col min="7" max="7" width="9.88671875" bestFit="1" customWidth="1"/>
    <col min="8" max="8" width="10.33203125" bestFit="1" customWidth="1"/>
    <col min="9" max="9" width="9" bestFit="1" customWidth="1"/>
    <col min="10" max="10" width="11.44140625" bestFit="1" customWidth="1"/>
    <col min="11" max="11" width="9.88671875" bestFit="1" customWidth="1"/>
    <col min="12" max="12" width="9.33203125" bestFit="1" customWidth="1"/>
    <col min="13" max="13" width="11.44140625" bestFit="1" customWidth="1"/>
    <col min="14" max="14" width="9.88671875" bestFit="1" customWidth="1"/>
    <col min="15" max="15" width="13" bestFit="1" customWidth="1"/>
  </cols>
  <sheetData>
    <row r="1" spans="1:15" ht="15.6">
      <c r="A1" s="20"/>
      <c r="B1" s="87"/>
      <c r="C1" s="88"/>
      <c r="D1" s="88"/>
      <c r="E1" s="88"/>
      <c r="F1" s="88"/>
      <c r="G1" s="88"/>
      <c r="H1" s="21"/>
      <c r="I1" s="21"/>
      <c r="J1" s="21"/>
      <c r="K1" s="21"/>
      <c r="L1" s="21"/>
      <c r="M1" s="21"/>
      <c r="N1" s="21"/>
    </row>
    <row r="2" spans="1:15" ht="16.2" thickBot="1">
      <c r="A2" s="22"/>
      <c r="B2" s="89"/>
      <c r="C2" s="89"/>
      <c r="D2" s="89"/>
      <c r="E2" s="89"/>
      <c r="F2" s="89"/>
      <c r="G2" s="89"/>
      <c r="H2" s="21"/>
      <c r="I2" s="21"/>
      <c r="J2" s="21"/>
      <c r="K2" s="21"/>
      <c r="L2" s="21"/>
      <c r="M2" s="21"/>
      <c r="N2" s="21"/>
    </row>
    <row r="3" spans="1:15" ht="15" thickBot="1">
      <c r="A3" s="76"/>
      <c r="B3" s="90" t="s">
        <v>77</v>
      </c>
      <c r="C3" s="91"/>
      <c r="D3" s="92"/>
      <c r="E3" s="93" t="s">
        <v>78</v>
      </c>
      <c r="F3" s="94"/>
      <c r="G3" s="95"/>
      <c r="H3" s="96" t="s">
        <v>79</v>
      </c>
      <c r="I3" s="97"/>
      <c r="J3" s="97"/>
      <c r="K3" s="97"/>
      <c r="L3" s="97"/>
      <c r="M3" s="97"/>
      <c r="N3" s="98"/>
      <c r="O3" s="77"/>
    </row>
    <row r="4" spans="1:15">
      <c r="A4" s="32" t="s">
        <v>80</v>
      </c>
      <c r="B4" s="33" t="s">
        <v>81</v>
      </c>
      <c r="C4" s="33" t="s">
        <v>82</v>
      </c>
      <c r="D4" s="34" t="s">
        <v>83</v>
      </c>
      <c r="E4" s="35" t="s">
        <v>84</v>
      </c>
      <c r="F4" s="33" t="s">
        <v>85</v>
      </c>
      <c r="G4" s="36" t="s">
        <v>86</v>
      </c>
      <c r="H4" s="37" t="s">
        <v>87</v>
      </c>
      <c r="I4" s="38" t="s">
        <v>88</v>
      </c>
      <c r="J4" s="38" t="s">
        <v>89</v>
      </c>
      <c r="K4" s="39" t="s">
        <v>90</v>
      </c>
      <c r="L4" s="37" t="s">
        <v>91</v>
      </c>
      <c r="M4" s="40" t="s">
        <v>92</v>
      </c>
      <c r="N4" s="39" t="s">
        <v>90</v>
      </c>
      <c r="O4" s="78" t="s">
        <v>93</v>
      </c>
    </row>
    <row r="5" spans="1:15">
      <c r="A5" s="41">
        <v>45261</v>
      </c>
      <c r="B5" s="42"/>
      <c r="C5" s="42"/>
      <c r="D5" s="43" t="e">
        <f t="shared" ref="D5:D17" si="0">B5/C5</f>
        <v>#DIV/0!</v>
      </c>
      <c r="E5" s="44"/>
      <c r="F5" s="45"/>
      <c r="G5" s="46" t="e">
        <f t="shared" ref="G5:G16" si="1">E5/F5</f>
        <v>#DIV/0!</v>
      </c>
      <c r="H5" s="47"/>
      <c r="I5" s="45"/>
      <c r="J5" s="48"/>
      <c r="K5" s="49" t="e">
        <f t="shared" ref="K5:K17" si="2">J5/(H5+I5)</f>
        <v>#DIV/0!</v>
      </c>
      <c r="L5" s="47"/>
      <c r="M5" s="50"/>
      <c r="N5" s="46" t="e">
        <f t="shared" ref="N5:N17" si="3">M5/L5</f>
        <v>#DIV/0!</v>
      </c>
      <c r="O5" s="79">
        <f>M5+J5+B5+E5</f>
        <v>0</v>
      </c>
    </row>
    <row r="6" spans="1:15">
      <c r="A6" s="51" t="s">
        <v>94</v>
      </c>
      <c r="B6" s="42">
        <f>221967.15/1.13</f>
        <v>196431.10619469028</v>
      </c>
      <c r="C6" s="80">
        <v>250667</v>
      </c>
      <c r="D6" s="43">
        <f t="shared" si="0"/>
        <v>0.78363369009359141</v>
      </c>
      <c r="E6" s="44">
        <f>1350.4+2056.73</f>
        <v>3407.13</v>
      </c>
      <c r="F6" s="54">
        <v>844</v>
      </c>
      <c r="G6" s="46">
        <f t="shared" si="1"/>
        <v>4.0368838862559242</v>
      </c>
      <c r="H6" s="47">
        <f>964.66+549.36+66.86+140.3+39.19+594.99</f>
        <v>2355.3599999999997</v>
      </c>
      <c r="I6" s="45"/>
      <c r="J6" s="48">
        <f>6500.5-78.81+3960.65-35.62+420+5524.81</f>
        <v>16291.529999999999</v>
      </c>
      <c r="K6" s="49">
        <f t="shared" si="2"/>
        <v>6.9167897900957822</v>
      </c>
      <c r="L6" s="47">
        <v>2324.46</v>
      </c>
      <c r="M6" s="50">
        <f>15163.69-205.73</f>
        <v>14957.960000000001</v>
      </c>
      <c r="N6" s="46">
        <f t="shared" si="3"/>
        <v>6.4350257694260176</v>
      </c>
      <c r="O6" s="79">
        <f>M6+J6+B6+E6</f>
        <v>231087.72619469027</v>
      </c>
    </row>
    <row r="7" spans="1:15">
      <c r="A7" s="51" t="s">
        <v>95</v>
      </c>
      <c r="B7" s="42">
        <v>204604.9</v>
      </c>
      <c r="C7" s="80">
        <v>263048</v>
      </c>
      <c r="D7" s="43">
        <f t="shared" si="0"/>
        <v>0.77782343906815488</v>
      </c>
      <c r="E7" s="44">
        <v>1856.97</v>
      </c>
      <c r="F7" s="54">
        <v>460</v>
      </c>
      <c r="G7" s="46">
        <f t="shared" si="1"/>
        <v>4.0368913043478258</v>
      </c>
      <c r="H7" s="55">
        <f>130.28+26.92+585.69+1227.13+600.86</f>
        <v>2570.88</v>
      </c>
      <c r="I7" s="56"/>
      <c r="J7" s="52">
        <f>5359.75+8318.75-90.16+4345.24-22.05</f>
        <v>17911.530000000002</v>
      </c>
      <c r="K7" s="49">
        <f t="shared" si="2"/>
        <v>6.9670813106796121</v>
      </c>
      <c r="L7" s="55">
        <v>2351.7199999999998</v>
      </c>
      <c r="M7" s="57">
        <f>15261.86-208.15</f>
        <v>15053.710000000001</v>
      </c>
      <c r="N7" s="46">
        <f t="shared" si="3"/>
        <v>6.4011489463031319</v>
      </c>
      <c r="O7" s="79">
        <f t="shared" ref="O7:O18" si="4">M7+J7+B7+E7</f>
        <v>239427.11000000002</v>
      </c>
    </row>
    <row r="8" spans="1:15">
      <c r="A8" s="51" t="s">
        <v>96</v>
      </c>
      <c r="B8" s="52">
        <v>137750.5</v>
      </c>
      <c r="C8" s="81">
        <v>163578</v>
      </c>
      <c r="D8" s="43">
        <f t="shared" si="0"/>
        <v>0.84210896330802432</v>
      </c>
      <c r="E8" s="58">
        <f>475.2+723.76</f>
        <v>1198.96</v>
      </c>
      <c r="F8" s="58">
        <v>297</v>
      </c>
      <c r="G8" s="46">
        <f t="shared" si="1"/>
        <v>4.036902356902357</v>
      </c>
      <c r="H8" s="59">
        <f>1429.65+616.85+222.15+16.68+549.12</f>
        <v>2834.45</v>
      </c>
      <c r="I8" s="60"/>
      <c r="J8" s="52">
        <f>9854.69-115.03+4525.23-40.2+5773.16</f>
        <v>19997.849999999999</v>
      </c>
      <c r="K8" s="49">
        <f t="shared" si="2"/>
        <v>7.0552840939159269</v>
      </c>
      <c r="L8" s="59">
        <v>1522.71</v>
      </c>
      <c r="M8" s="57">
        <f>10065.85-134.77</f>
        <v>9931.08</v>
      </c>
      <c r="N8" s="46">
        <f t="shared" si="3"/>
        <v>6.5219772642197134</v>
      </c>
      <c r="O8" s="79">
        <f t="shared" si="4"/>
        <v>168878.38999999998</v>
      </c>
    </row>
    <row r="9" spans="1:15">
      <c r="A9" s="51" t="s">
        <v>97</v>
      </c>
      <c r="B9" s="48">
        <f>207077.66/1.13</f>
        <v>183254.56637168143</v>
      </c>
      <c r="C9" s="81">
        <v>229306</v>
      </c>
      <c r="D9" s="43">
        <f t="shared" si="0"/>
        <v>0.79917039402231704</v>
      </c>
      <c r="E9" s="44">
        <v>2103.23</v>
      </c>
      <c r="F9" s="54">
        <v>521</v>
      </c>
      <c r="G9" s="46">
        <f t="shared" si="1"/>
        <v>4.036909788867562</v>
      </c>
      <c r="H9" s="61">
        <f>103.15+506.9+364.99+605.99</f>
        <v>1581.03</v>
      </c>
      <c r="I9" s="56"/>
      <c r="J9" s="52">
        <f>4534.86+2710.73-32.3+4230.83-52.43</f>
        <v>11391.689999999999</v>
      </c>
      <c r="K9" s="49">
        <f t="shared" si="2"/>
        <v>7.2052332972808859</v>
      </c>
      <c r="L9" s="59">
        <v>2031.77</v>
      </c>
      <c r="M9" s="62">
        <f>13628.7-179.85</f>
        <v>13448.85</v>
      </c>
      <c r="N9" s="46">
        <f t="shared" si="3"/>
        <v>6.6192777725825271</v>
      </c>
      <c r="O9" s="79">
        <f t="shared" si="4"/>
        <v>210198.33637168145</v>
      </c>
    </row>
    <row r="10" spans="1:15">
      <c r="A10" s="51" t="s">
        <v>98</v>
      </c>
      <c r="B10" s="48">
        <f>199740.5/1.13</f>
        <v>176761.50442477877</v>
      </c>
      <c r="C10" s="82">
        <v>220263</v>
      </c>
      <c r="D10" s="43">
        <f t="shared" si="0"/>
        <v>0.8025020290506294</v>
      </c>
      <c r="E10" s="44">
        <v>1404.84</v>
      </c>
      <c r="F10" s="56">
        <v>348</v>
      </c>
      <c r="G10" s="46">
        <f t="shared" si="1"/>
        <v>4.036896551724138</v>
      </c>
      <c r="H10" s="63">
        <f>224.48+76.49+563.36+1032.85+672.12+41.06+25.58</f>
        <v>2635.9399999999996</v>
      </c>
      <c r="I10" s="45"/>
      <c r="J10" s="48">
        <f>500+6576.85+7404.77-89.39+5140.35-54.81</f>
        <v>19477.77</v>
      </c>
      <c r="K10" s="49">
        <f t="shared" si="2"/>
        <v>7.3893070403726959</v>
      </c>
      <c r="L10" s="47">
        <v>1967.43</v>
      </c>
      <c r="M10" s="50">
        <f>13612.96-174.15</f>
        <v>13438.81</v>
      </c>
      <c r="N10" s="46">
        <f t="shared" si="3"/>
        <v>6.830642005052276</v>
      </c>
      <c r="O10" s="79">
        <f t="shared" si="4"/>
        <v>211082.92442477876</v>
      </c>
    </row>
    <row r="11" spans="1:15">
      <c r="A11" s="51" t="s">
        <v>99</v>
      </c>
      <c r="B11" s="48">
        <f>204479.83/1.13</f>
        <v>180955.6017699115</v>
      </c>
      <c r="C11" s="82">
        <v>231634</v>
      </c>
      <c r="D11" s="43">
        <f t="shared" si="0"/>
        <v>0.78121347371245808</v>
      </c>
      <c r="E11" s="44">
        <v>1489.61</v>
      </c>
      <c r="F11" s="56">
        <v>369</v>
      </c>
      <c r="G11" s="46">
        <f t="shared" si="1"/>
        <v>4.036883468834688</v>
      </c>
      <c r="H11" s="64">
        <f>104.45+47.35+547.18+897.72+442.27</f>
        <v>2038.97</v>
      </c>
      <c r="I11" s="45"/>
      <c r="J11" s="52">
        <f>5245.06+6382.59-75.5+3353.63-34.48</f>
        <v>14871.300000000003</v>
      </c>
      <c r="K11" s="46">
        <f t="shared" si="2"/>
        <v>7.2935354615320493</v>
      </c>
      <c r="L11" s="47">
        <v>2220.85</v>
      </c>
      <c r="M11" s="50">
        <f>15213.87-717.73</f>
        <v>14496.140000000001</v>
      </c>
      <c r="N11" s="46">
        <f t="shared" si="3"/>
        <v>6.5272936038003477</v>
      </c>
      <c r="O11" s="79">
        <f t="shared" si="4"/>
        <v>211812.65176991149</v>
      </c>
    </row>
    <row r="12" spans="1:15">
      <c r="A12" s="51" t="s">
        <v>100</v>
      </c>
      <c r="B12" s="48">
        <f>222910.64/1.13</f>
        <v>197266.05309734517</v>
      </c>
      <c r="C12" s="82">
        <v>265300</v>
      </c>
      <c r="D12" s="43">
        <f t="shared" si="0"/>
        <v>0.74355843610005712</v>
      </c>
      <c r="E12" s="44">
        <v>2260.66</v>
      </c>
      <c r="F12" s="45">
        <v>560</v>
      </c>
      <c r="G12" s="46">
        <f t="shared" si="1"/>
        <v>4.0368928571428571</v>
      </c>
      <c r="H12" s="47">
        <f>1036.4+608.63+97.21+402.92</f>
        <v>2145.1600000000003</v>
      </c>
      <c r="I12" s="45"/>
      <c r="J12" s="48">
        <f>7265.4-89.71+4533.75-50.07+3714.57</f>
        <v>15373.939999999999</v>
      </c>
      <c r="K12" s="46">
        <f t="shared" si="2"/>
        <v>7.1668034086035526</v>
      </c>
      <c r="L12" s="66">
        <v>2368.46</v>
      </c>
      <c r="M12" s="45">
        <f>15877.49-1218.57</f>
        <v>14658.92</v>
      </c>
      <c r="N12" s="46">
        <f t="shared" si="3"/>
        <v>6.1892199994933419</v>
      </c>
      <c r="O12" s="79">
        <f t="shared" si="4"/>
        <v>229559.57309734516</v>
      </c>
    </row>
    <row r="13" spans="1:15">
      <c r="A13" s="51" t="s">
        <v>101</v>
      </c>
      <c r="B13" s="65">
        <v>249453.35</v>
      </c>
      <c r="C13" s="81">
        <v>331969</v>
      </c>
      <c r="D13" s="83">
        <f t="shared" si="0"/>
        <v>0.75143567622277985</v>
      </c>
      <c r="E13" s="55">
        <v>1881.2</v>
      </c>
      <c r="F13" s="54">
        <v>466</v>
      </c>
      <c r="G13" s="49">
        <f t="shared" si="1"/>
        <v>4.0369098712446352</v>
      </c>
      <c r="H13" s="59">
        <f>32.13+802.02+1024.03+405.34+54.62</f>
        <v>2318.14</v>
      </c>
      <c r="I13" s="56"/>
      <c r="J13" s="52">
        <f>6270.5+7262.52-87.5+3067.8-27.73+376.11</f>
        <v>16861.7</v>
      </c>
      <c r="K13" s="49">
        <f t="shared" si="2"/>
        <v>7.2738057235542293</v>
      </c>
      <c r="L13" s="59">
        <v>2482.46</v>
      </c>
      <c r="M13" s="57">
        <f>16922.16-1631.84</f>
        <v>15290.32</v>
      </c>
      <c r="N13" s="49">
        <f t="shared" si="3"/>
        <v>6.1593419430725973</v>
      </c>
      <c r="O13" s="79">
        <f t="shared" si="4"/>
        <v>283486.57</v>
      </c>
    </row>
    <row r="14" spans="1:15">
      <c r="A14" s="51" t="s">
        <v>102</v>
      </c>
      <c r="B14" s="60">
        <v>230103.48</v>
      </c>
      <c r="C14" s="84">
        <v>302982</v>
      </c>
      <c r="D14" s="53">
        <f t="shared" si="0"/>
        <v>0.75946254232924737</v>
      </c>
      <c r="E14" s="55">
        <v>2660.31</v>
      </c>
      <c r="F14" s="54">
        <v>659</v>
      </c>
      <c r="G14" s="49">
        <f t="shared" si="1"/>
        <v>4.0368892261001514</v>
      </c>
      <c r="H14" s="59">
        <f>53.15+603.51+889.83+667.5</f>
        <v>2213.9899999999998</v>
      </c>
      <c r="I14" s="56"/>
      <c r="J14" s="52">
        <f>4765.18+6100.57-68+4856.87-48.56</f>
        <v>15606.06</v>
      </c>
      <c r="K14" s="49">
        <f t="shared" si="2"/>
        <v>7.0488394256523295</v>
      </c>
      <c r="L14" s="59">
        <v>2219.46</v>
      </c>
      <c r="M14" s="57">
        <f>14601.15-1571.32</f>
        <v>13029.83</v>
      </c>
      <c r="N14" s="49">
        <f t="shared" si="3"/>
        <v>5.8707208059618106</v>
      </c>
      <c r="O14" s="79">
        <f t="shared" si="4"/>
        <v>261399.67999999999</v>
      </c>
    </row>
    <row r="15" spans="1:15">
      <c r="A15" s="51" t="s">
        <v>103</v>
      </c>
      <c r="B15" s="60">
        <v>190331.91</v>
      </c>
      <c r="C15" s="84">
        <v>248597</v>
      </c>
      <c r="D15" s="53">
        <f t="shared" si="0"/>
        <v>0.76562432370463041</v>
      </c>
      <c r="E15" s="55">
        <v>1396.76</v>
      </c>
      <c r="F15" s="56">
        <v>346</v>
      </c>
      <c r="G15" s="49">
        <f t="shared" si="1"/>
        <v>4.0368786127167633</v>
      </c>
      <c r="H15" s="55">
        <f>22.53+578.34+713.39+434.91</f>
        <v>1749.17</v>
      </c>
      <c r="I15" s="54"/>
      <c r="J15" s="52">
        <f>4252.95+4719.2-63.12+3097.49-38.5</f>
        <v>11968.019999999999</v>
      </c>
      <c r="K15" s="49">
        <f t="shared" si="2"/>
        <v>6.8421136882064051</v>
      </c>
      <c r="L15" s="55">
        <v>2260.9899999999998</v>
      </c>
      <c r="M15" s="55">
        <f>14436.97-1600.73</f>
        <v>12836.24</v>
      </c>
      <c r="N15" s="49">
        <f t="shared" si="3"/>
        <v>5.6772652687539535</v>
      </c>
      <c r="O15" s="79">
        <f t="shared" si="4"/>
        <v>216532.93000000002</v>
      </c>
    </row>
    <row r="16" spans="1:15">
      <c r="A16" s="51" t="s">
        <v>104</v>
      </c>
      <c r="B16" s="42">
        <v>147827.12</v>
      </c>
      <c r="C16" s="80">
        <v>177479</v>
      </c>
      <c r="D16" s="53">
        <f t="shared" si="0"/>
        <v>0.83292738859245319</v>
      </c>
      <c r="E16" s="44">
        <v>1602.65</v>
      </c>
      <c r="F16" s="45">
        <v>397</v>
      </c>
      <c r="G16" s="49">
        <f t="shared" si="1"/>
        <v>4.0369017632241819</v>
      </c>
      <c r="H16" s="44">
        <f>752.4+525.4+92.85+28.57+499.32</f>
        <v>1898.5399999999997</v>
      </c>
      <c r="I16" s="67"/>
      <c r="J16" s="48">
        <f>4960.61-65.42+3680.35-46.49+4358.3</f>
        <v>12887.349999999999</v>
      </c>
      <c r="K16" s="46">
        <f t="shared" si="2"/>
        <v>6.7880318560578132</v>
      </c>
      <c r="L16" s="63">
        <v>2071.59</v>
      </c>
      <c r="M16" s="50">
        <f>13061.46-1466.62</f>
        <v>11594.84</v>
      </c>
      <c r="N16" s="46">
        <f t="shared" si="3"/>
        <v>5.5970727798454325</v>
      </c>
      <c r="O16" s="79">
        <f t="shared" si="4"/>
        <v>173911.96</v>
      </c>
    </row>
    <row r="17" spans="1:15">
      <c r="A17" s="51" t="s">
        <v>105</v>
      </c>
      <c r="B17" s="42">
        <v>151436.35999999999</v>
      </c>
      <c r="C17" s="80">
        <v>187204</v>
      </c>
      <c r="D17" s="53">
        <f t="shared" si="0"/>
        <v>0.80893762953783033</v>
      </c>
      <c r="E17" s="44">
        <v>1509.8</v>
      </c>
      <c r="F17" s="45">
        <v>374</v>
      </c>
      <c r="G17" s="46">
        <f>E17/F17</f>
        <v>4.0368983957219253</v>
      </c>
      <c r="H17" s="47">
        <f>691.01+552.83+334.37+32.9+1001.36</f>
        <v>2612.4700000000003</v>
      </c>
      <c r="I17" s="45"/>
      <c r="J17" s="48">
        <f>4538.53-59.96+3854.94-48.92+9534.99</f>
        <v>17819.580000000002</v>
      </c>
      <c r="K17" s="46">
        <f t="shared" si="2"/>
        <v>6.8209701929591535</v>
      </c>
      <c r="L17" s="47">
        <v>2339.64</v>
      </c>
      <c r="M17" s="50">
        <f>14672.12-1656.37</f>
        <v>13015.75</v>
      </c>
      <c r="N17" s="46">
        <f t="shared" si="3"/>
        <v>5.563142192815989</v>
      </c>
      <c r="O17" s="79">
        <f t="shared" si="4"/>
        <v>183781.49</v>
      </c>
    </row>
    <row r="18" spans="1:15" ht="15.75" customHeight="1" thickBot="1">
      <c r="A18" s="68" t="s">
        <v>93</v>
      </c>
      <c r="B18" s="85">
        <f>SUM(B6:B17)</f>
        <v>2246176.4518584069</v>
      </c>
      <c r="C18" s="86">
        <f>SUM(C6:C17)</f>
        <v>2872027</v>
      </c>
      <c r="D18" s="70"/>
      <c r="E18" s="71">
        <f>SUM(E6:E17)</f>
        <v>22772.120000000003</v>
      </c>
      <c r="F18" s="72">
        <f>SUM(F6:F17)</f>
        <v>5641</v>
      </c>
      <c r="G18" s="73"/>
      <c r="H18" s="71">
        <f>SUM(H6:H17)</f>
        <v>26954.1</v>
      </c>
      <c r="I18" s="69">
        <f>SUM(I6:I17)</f>
        <v>0</v>
      </c>
      <c r="J18" s="69">
        <f>SUM(J6:J17)</f>
        <v>190458.32</v>
      </c>
      <c r="K18" s="73"/>
      <c r="L18" s="74">
        <f>SUM(L6:L17)</f>
        <v>26161.539999999997</v>
      </c>
      <c r="M18" s="75">
        <f>SUM(M6:M17)</f>
        <v>161752.45000000001</v>
      </c>
      <c r="N18" s="73"/>
      <c r="O18" s="79">
        <f t="shared" si="4"/>
        <v>2621159.341858407</v>
      </c>
    </row>
    <row r="19" spans="1:15" ht="15.6">
      <c r="A19" s="24"/>
      <c r="B19" s="25"/>
      <c r="C19" s="2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5" ht="15.6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5" ht="15.6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5" ht="15.6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ht="15.6">
      <c r="A23" s="23"/>
      <c r="B23" s="21"/>
      <c r="C23" s="21"/>
      <c r="D23" s="21" t="s">
        <v>76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5" ht="15.6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5" ht="15.6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5" ht="15.6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5" ht="15.6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5" ht="15.6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5" ht="15.6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ht="15.6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</sheetData>
  <mergeCells count="5">
    <mergeCell ref="B1:G1"/>
    <mergeCell ref="B2:G2"/>
    <mergeCell ref="B3:D3"/>
    <mergeCell ref="E3:G3"/>
    <mergeCell ref="H3:N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7" workbookViewId="0">
      <selection activeCell="C33" sqref="C33"/>
    </sheetView>
  </sheetViews>
  <sheetFormatPr defaultRowHeight="14.4"/>
  <cols>
    <col min="1" max="1" width="25.33203125" style="2" customWidth="1"/>
    <col min="2" max="2" width="23.109375" style="1" customWidth="1"/>
    <col min="3" max="3" width="22" style="1" customWidth="1"/>
    <col min="4" max="4" width="19.88671875" style="1" customWidth="1"/>
    <col min="5" max="7" width="9" style="1"/>
  </cols>
  <sheetData>
    <row r="1" spans="1:4">
      <c r="A1" s="3" t="s">
        <v>0</v>
      </c>
      <c r="B1" s="4"/>
      <c r="C1" s="4"/>
      <c r="D1" s="4"/>
    </row>
    <row r="2" spans="1:4">
      <c r="A2" s="8" t="s">
        <v>1</v>
      </c>
      <c r="B2" s="9" t="s">
        <v>2</v>
      </c>
      <c r="C2" s="4"/>
      <c r="D2" s="4"/>
    </row>
    <row r="3" spans="1:4" ht="16.8">
      <c r="A3" s="27" t="s">
        <v>3</v>
      </c>
      <c r="B3" s="29" t="s">
        <v>30</v>
      </c>
      <c r="C3" s="4"/>
      <c r="D3" s="4"/>
    </row>
    <row r="4" spans="1:4" ht="15.6">
      <c r="A4" s="8" t="s">
        <v>4</v>
      </c>
      <c r="B4" s="10" t="s">
        <v>31</v>
      </c>
      <c r="C4" s="4"/>
      <c r="D4" s="4"/>
    </row>
    <row r="5" spans="1:4">
      <c r="A5" s="3" t="s">
        <v>5</v>
      </c>
      <c r="B5" s="4"/>
      <c r="C5" s="4"/>
      <c r="D5" s="4"/>
    </row>
    <row r="6" spans="1:4">
      <c r="A6" s="5"/>
      <c r="B6" s="4"/>
      <c r="C6" s="4"/>
      <c r="D6" s="4"/>
    </row>
    <row r="7" spans="1:4">
      <c r="A7" s="5" t="s">
        <v>6</v>
      </c>
      <c r="B7" s="4"/>
      <c r="C7" s="4"/>
      <c r="D7" s="4"/>
    </row>
    <row r="8" spans="1:4">
      <c r="A8" s="11" t="s">
        <v>7</v>
      </c>
      <c r="B8" s="12" t="s">
        <v>8</v>
      </c>
      <c r="C8" s="12" t="s">
        <v>9</v>
      </c>
      <c r="D8" s="12" t="s">
        <v>10</v>
      </c>
    </row>
    <row r="9" spans="1:4" ht="15.6">
      <c r="A9" s="11" t="s">
        <v>11</v>
      </c>
      <c r="B9" s="13" t="s">
        <v>32</v>
      </c>
      <c r="C9" s="13" t="s">
        <v>33</v>
      </c>
      <c r="D9" s="13" t="s">
        <v>34</v>
      </c>
    </row>
    <row r="10" spans="1:4" ht="15.6">
      <c r="A10" s="11" t="s">
        <v>12</v>
      </c>
      <c r="B10" s="13" t="s">
        <v>35</v>
      </c>
      <c r="C10" s="13" t="s">
        <v>36</v>
      </c>
      <c r="D10" s="13" t="s">
        <v>37</v>
      </c>
    </row>
    <row r="11" spans="1:4" ht="15.6">
      <c r="A11" s="11" t="s">
        <v>13</v>
      </c>
      <c r="B11" s="13" t="s">
        <v>38</v>
      </c>
      <c r="C11" s="13" t="s">
        <v>39</v>
      </c>
      <c r="D11" s="13" t="s">
        <v>37</v>
      </c>
    </row>
    <row r="12" spans="1:4" ht="15.6">
      <c r="A12" s="28" t="s">
        <v>14</v>
      </c>
      <c r="B12" s="30" t="s">
        <v>40</v>
      </c>
      <c r="C12" s="30" t="s">
        <v>41</v>
      </c>
      <c r="D12" s="30" t="s">
        <v>42</v>
      </c>
    </row>
    <row r="13" spans="1:4" ht="15.6">
      <c r="A13" s="28" t="s">
        <v>15</v>
      </c>
      <c r="B13" s="30" t="s">
        <v>43</v>
      </c>
      <c r="C13" s="30" t="s">
        <v>44</v>
      </c>
      <c r="D13" s="30" t="s">
        <v>42</v>
      </c>
    </row>
    <row r="14" spans="1:4" ht="15.6">
      <c r="A14" s="11" t="s">
        <v>16</v>
      </c>
      <c r="B14" s="13" t="s">
        <v>45</v>
      </c>
      <c r="C14" s="13" t="s">
        <v>46</v>
      </c>
      <c r="D14" s="13" t="s">
        <v>42</v>
      </c>
    </row>
    <row r="15" spans="1:4" ht="15.6">
      <c r="A15" s="11" t="s">
        <v>17</v>
      </c>
      <c r="B15" s="13" t="s">
        <v>47</v>
      </c>
      <c r="C15" s="13" t="s">
        <v>44</v>
      </c>
      <c r="D15" s="13" t="s">
        <v>42</v>
      </c>
    </row>
    <row r="16" spans="1:4" ht="15.6">
      <c r="A16" s="11" t="s">
        <v>18</v>
      </c>
      <c r="B16" s="13" t="s">
        <v>48</v>
      </c>
      <c r="C16" s="13" t="s">
        <v>49</v>
      </c>
      <c r="D16" s="13" t="s">
        <v>50</v>
      </c>
    </row>
    <row r="17" spans="1:4" ht="15.6">
      <c r="A17" s="11" t="s">
        <v>19</v>
      </c>
      <c r="B17" s="13" t="s">
        <v>51</v>
      </c>
      <c r="C17" s="13" t="s">
        <v>52</v>
      </c>
      <c r="D17" s="13" t="s">
        <v>53</v>
      </c>
    </row>
    <row r="18" spans="1:4" ht="15.6">
      <c r="A18" s="11" t="s">
        <v>20</v>
      </c>
      <c r="B18" s="13" t="s">
        <v>54</v>
      </c>
      <c r="C18" s="13" t="s">
        <v>55</v>
      </c>
      <c r="D18" s="13" t="s">
        <v>56</v>
      </c>
    </row>
    <row r="19" spans="1:4" ht="15.6">
      <c r="A19" s="11" t="s">
        <v>21</v>
      </c>
      <c r="B19" s="13" t="s">
        <v>57</v>
      </c>
      <c r="C19" s="13" t="s">
        <v>58</v>
      </c>
      <c r="D19" s="13" t="s">
        <v>42</v>
      </c>
    </row>
    <row r="20" spans="1:4" ht="15.6">
      <c r="A20" s="11" t="s">
        <v>22</v>
      </c>
      <c r="B20" s="13" t="s">
        <v>57</v>
      </c>
      <c r="C20" s="13" t="s">
        <v>59</v>
      </c>
      <c r="D20" s="13" t="s">
        <v>42</v>
      </c>
    </row>
    <row r="21" spans="1:4">
      <c r="A21" s="3" t="s">
        <v>66</v>
      </c>
      <c r="B21" s="4"/>
      <c r="C21" s="4"/>
      <c r="D21" s="4"/>
    </row>
    <row r="22" spans="1:4">
      <c r="A22" s="3" t="s">
        <v>67</v>
      </c>
      <c r="B22" s="4"/>
      <c r="C22" s="4"/>
      <c r="D22" s="4"/>
    </row>
    <row r="23" spans="1:4">
      <c r="A23" s="6"/>
      <c r="B23" s="4"/>
      <c r="C23" s="4"/>
      <c r="D23" s="4"/>
    </row>
    <row r="24" spans="1:4">
      <c r="A24" s="5" t="s">
        <v>23</v>
      </c>
      <c r="B24" s="4"/>
      <c r="C24" s="4"/>
      <c r="D24" s="4"/>
    </row>
    <row r="25" spans="1:4">
      <c r="A25" s="8" t="s">
        <v>7</v>
      </c>
      <c r="B25" s="9" t="s">
        <v>24</v>
      </c>
      <c r="C25" s="4"/>
      <c r="D25" s="4"/>
    </row>
    <row r="26" spans="1:4">
      <c r="A26" s="8" t="s">
        <v>14</v>
      </c>
      <c r="B26" s="10" t="s">
        <v>25</v>
      </c>
      <c r="C26" s="4"/>
      <c r="D26" s="4"/>
    </row>
    <row r="27" spans="1:4">
      <c r="A27" s="8" t="s">
        <v>15</v>
      </c>
      <c r="B27" s="10" t="s">
        <v>26</v>
      </c>
      <c r="C27" s="4"/>
      <c r="D27" s="4"/>
    </row>
    <row r="28" spans="1:4">
      <c r="A28" s="8" t="s">
        <v>16</v>
      </c>
      <c r="B28" s="10" t="s">
        <v>27</v>
      </c>
      <c r="C28" s="4"/>
      <c r="D28" s="4"/>
    </row>
    <row r="29" spans="1:4">
      <c r="A29" s="8" t="s">
        <v>17</v>
      </c>
      <c r="B29" s="10" t="s">
        <v>28</v>
      </c>
      <c r="C29" s="4"/>
      <c r="D29" s="4"/>
    </row>
    <row r="30" spans="1:4">
      <c r="A30" s="3" t="s">
        <v>29</v>
      </c>
      <c r="B30" s="4"/>
      <c r="C30" s="4"/>
      <c r="D30" s="4"/>
    </row>
    <row r="31" spans="1:4">
      <c r="A31" s="7"/>
      <c r="B31" s="4"/>
      <c r="C31" s="4"/>
      <c r="D31" s="4"/>
    </row>
  </sheetData>
  <phoneticPr fontId="1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</vt:lpstr>
      <vt:lpstr>明细</vt:lpstr>
      <vt:lpstr>系数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sxh</dc:creator>
  <cp:lastModifiedBy>沈工</cp:lastModifiedBy>
  <dcterms:created xsi:type="dcterms:W3CDTF">2022-06-20T03:16:38Z</dcterms:created>
  <dcterms:modified xsi:type="dcterms:W3CDTF">2025-08-20T06:58:26Z</dcterms:modified>
</cp:coreProperties>
</file>